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_Beal\Downloads\"/>
    </mc:Choice>
  </mc:AlternateContent>
  <workbookProtection workbookPassword="E127" lockStructure="1"/>
  <bookViews>
    <workbookView xWindow="192" yWindow="816" windowWidth="20076" windowHeight="12336"/>
  </bookViews>
  <sheets>
    <sheet name="Sheet1" sheetId="1" r:id="rId1"/>
    <sheet name="Sheet2" sheetId="2" r:id="rId2"/>
    <sheet name="Sheet3" sheetId="3" r:id="rId3"/>
  </sheets>
  <definedNames>
    <definedName name="vlink">Sheet1!$G$6:$G$15</definedName>
    <definedName name="Vlink200">Sheet1!$J$6:$J$13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D9" i="1"/>
  <c r="A95" i="1"/>
  <c r="D6" i="1" l="1"/>
  <c r="D7" i="1" s="1"/>
  <c r="E6" i="1"/>
  <c r="D10" i="1" l="1"/>
  <c r="E10" i="1"/>
  <c r="E7" i="1"/>
  <c r="E11" i="1" l="1"/>
  <c r="D11" i="1"/>
  <c r="D13" i="1" l="1"/>
  <c r="I21" i="1" s="1"/>
  <c r="D14" i="1"/>
  <c r="K21" i="1" s="1"/>
  <c r="D12" i="1"/>
  <c r="G21" i="1" s="1"/>
  <c r="G20" i="1" l="1"/>
  <c r="I20" i="1"/>
  <c r="K20" i="1"/>
</calcChain>
</file>

<file path=xl/sharedStrings.xml><?xml version="1.0" encoding="utf-8"?>
<sst xmlns="http://schemas.openxmlformats.org/spreadsheetml/2006/main" count="90" uniqueCount="64">
  <si>
    <t>Volts</t>
  </si>
  <si>
    <t>Node Excitation Voltage:</t>
  </si>
  <si>
    <t>Sensor Sensitivity @ factory:</t>
  </si>
  <si>
    <t xml:space="preserve">Slope: </t>
  </si>
  <si>
    <t>denotes user definable values</t>
  </si>
  <si>
    <t>Full scale sensor range:</t>
  </si>
  <si>
    <t>Engineering unit (EU)</t>
  </si>
  <si>
    <t>We used a Futek LSB300 loadcell (pictured) for an example of how to use this calculator</t>
  </si>
  <si>
    <t>User Set Gain:</t>
  </si>
  <si>
    <t>mV Range</t>
  </si>
  <si>
    <t>Gain</t>
  </si>
  <si>
    <t>±70mV</t>
  </si>
  <si>
    <t>±50mV</t>
  </si>
  <si>
    <t>±20mV</t>
  </si>
  <si>
    <t>±10mV</t>
  </si>
  <si>
    <t>±5mV</t>
  </si>
  <si>
    <t>±2.5mV</t>
  </si>
  <si>
    <t>±1mV</t>
  </si>
  <si>
    <t>A to D converter:</t>
  </si>
  <si>
    <t>12 Bit</t>
  </si>
  <si>
    <t>16 Bit</t>
  </si>
  <si>
    <t>mV/V</t>
  </si>
  <si>
    <t>mV/V to Engineering unit/bit</t>
  </si>
  <si>
    <t>18 Bit</t>
  </si>
  <si>
    <t xml:space="preserve">±1.22 mV </t>
  </si>
  <si>
    <t xml:space="preserve">±2.44 mV </t>
  </si>
  <si>
    <t xml:space="preserve">±4.88 mV </t>
  </si>
  <si>
    <t xml:space="preserve">±9.76 mV </t>
  </si>
  <si>
    <t xml:space="preserve">±19.5 mV </t>
  </si>
  <si>
    <t xml:space="preserve">±39.0 mV </t>
  </si>
  <si>
    <t xml:space="preserve">±78.1 mV </t>
  </si>
  <si>
    <t xml:space="preserve">±156 mV  </t>
  </si>
  <si>
    <t>Effective Range</t>
  </si>
  <si>
    <t xml:space="preserve">XRS V-Link </t>
  </si>
  <si>
    <t>Mid-scale</t>
  </si>
  <si>
    <t>High-scale</t>
  </si>
  <si>
    <t>Low-scale</t>
  </si>
  <si>
    <t>denotes values to enter into SensorConnect</t>
  </si>
  <si>
    <t>ADC bit</t>
  </si>
  <si>
    <t>Full load voltage:</t>
  </si>
  <si>
    <t>Optimal gain for full load:</t>
  </si>
  <si>
    <t>load capacity of sensor:</t>
  </si>
  <si>
    <r>
      <t xml:space="preserve">2. Enter the capacity of the sensor </t>
    </r>
    <r>
      <rPr>
        <b/>
        <sz val="9"/>
        <color theme="1"/>
        <rFont val="Calibri"/>
        <family val="2"/>
        <scheme val="minor"/>
      </rPr>
      <t>(if sensor shows +/- use only the + value)</t>
    </r>
  </si>
  <si>
    <t xml:space="preserve">1. Select the resolution of the device A to D converter from drop down list </t>
  </si>
  <si>
    <t>Offset for the three scaling levels</t>
  </si>
  <si>
    <t>4. Enter the excitation voltage (3.0V for XRS, 4.096V for V-Link 200, or external set V</t>
  </si>
  <si>
    <t xml:space="preserve">6. Enter the Slope in yellow into SensorConnect Slope field </t>
  </si>
  <si>
    <t>7. Enter the offset in yellow that corresponds to the balance level used into SensorConnect offset field</t>
  </si>
  <si>
    <t xml:space="preserve">3. Enter the sensors sensitivity (will be shown as mV/V) </t>
  </si>
  <si>
    <r>
      <t xml:space="preserve">5. Use the Optimal Set Gain to choose a range/gain from one of the tables.  Enter the gain                  selected into </t>
    </r>
    <r>
      <rPr>
        <b/>
        <u/>
        <sz val="11"/>
        <color theme="1"/>
        <rFont val="Calibri"/>
        <family val="2"/>
        <scheme val="minor"/>
      </rPr>
      <t>User Set Gain</t>
    </r>
    <r>
      <rPr>
        <b/>
        <sz val="11"/>
        <color theme="1"/>
        <rFont val="Calibri"/>
        <family val="2"/>
        <scheme val="minor"/>
      </rPr>
      <t xml:space="preserve"> field.  Refer to the Effective Range table above to see if a higher gain with low or high scale balancing will accomadate the sensor.</t>
    </r>
  </si>
  <si>
    <t>Max Full Scale Input Voltage:</t>
  </si>
  <si>
    <t>Offset for High-scale:</t>
  </si>
  <si>
    <t>Offset for  Mid-scale:</t>
  </si>
  <si>
    <t>Offset for  Low-scale:</t>
  </si>
  <si>
    <t>12 and 16 bit</t>
  </si>
  <si>
    <t>18 bit</t>
  </si>
  <si>
    <t>3.000 V excitation</t>
  </si>
  <si>
    <t>4.096 excitation</t>
  </si>
  <si>
    <t xml:space="preserve">V-Link 200 </t>
  </si>
  <si>
    <t>vlink</t>
  </si>
  <si>
    <t>vlink200</t>
  </si>
  <si>
    <t>±600µV</t>
  </si>
  <si>
    <t>±350µV</t>
  </si>
  <si>
    <t>±100µV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</si>
</sst>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484848"/>
      <name val="Calibri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2" fillId="0" borderId="0" xfId="0" applyFont="1" applyProtection="1"/>
    <xf numFmtId="0" fontId="2" fillId="2" borderId="2" xfId="0" applyFont="1" applyFill="1" applyBorder="1" applyProtection="1"/>
    <xf numFmtId="0" fontId="2" fillId="0" borderId="2" xfId="0" applyFont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Protection="1"/>
    <xf numFmtId="0" fontId="7" fillId="0" borderId="2" xfId="0" applyFont="1" applyBorder="1" applyAlignment="1">
      <alignment vertical="center"/>
    </xf>
    <xf numFmtId="0" fontId="2" fillId="0" borderId="0" xfId="0" applyFont="1" applyBorder="1"/>
    <xf numFmtId="1" fontId="2" fillId="0" borderId="0" xfId="0" applyNumberFormat="1" applyFont="1" applyBorder="1"/>
    <xf numFmtId="2" fontId="3" fillId="3" borderId="2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right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17</xdr:row>
      <xdr:rowOff>85726</xdr:rowOff>
    </xdr:from>
    <xdr:to>
      <xdr:col>4</xdr:col>
      <xdr:colOff>1647825</xdr:colOff>
      <xdr:row>32</xdr:row>
      <xdr:rowOff>109539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200526"/>
          <a:ext cx="4095750" cy="3071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selection activeCell="D2" sqref="D2"/>
    </sheetView>
  </sheetViews>
  <sheetFormatPr defaultColWidth="9.109375" defaultRowHeight="14.4" x14ac:dyDescent="0.3"/>
  <cols>
    <col min="1" max="1" width="5.88671875" style="1" bestFit="1" customWidth="1"/>
    <col min="2" max="2" width="7" style="1" bestFit="1" customWidth="1"/>
    <col min="3" max="3" width="22.109375" style="1" customWidth="1"/>
    <col min="4" max="4" width="15" style="1" bestFit="1" customWidth="1"/>
    <col min="5" max="5" width="50.33203125" style="1" bestFit="1" customWidth="1"/>
    <col min="6" max="6" width="12.109375" style="1" customWidth="1"/>
    <col min="7" max="7" width="12" style="1" bestFit="1" customWidth="1"/>
    <col min="8" max="8" width="9.6640625" style="1" customWidth="1"/>
    <col min="9" max="9" width="9.109375" style="1"/>
    <col min="10" max="10" width="12" style="1" bestFit="1" customWidth="1"/>
    <col min="11" max="17" width="9.109375" style="1"/>
    <col min="18" max="18" width="48.109375" style="1" customWidth="1"/>
    <col min="19" max="16384" width="9.109375" style="1"/>
  </cols>
  <sheetData>
    <row r="1" spans="1:17" ht="31.2" x14ac:dyDescent="0.6">
      <c r="A1" s="42" t="s">
        <v>22</v>
      </c>
      <c r="B1" s="42"/>
      <c r="C1" s="42"/>
      <c r="D1" s="42"/>
      <c r="E1" s="42"/>
    </row>
    <row r="2" spans="1:17" s="2" customFormat="1" ht="18.75" customHeight="1" x14ac:dyDescent="0.35">
      <c r="A2" s="44" t="s">
        <v>18</v>
      </c>
      <c r="B2" s="44"/>
      <c r="C2" s="44"/>
      <c r="D2" s="7" t="s">
        <v>23</v>
      </c>
      <c r="E2" s="3" t="s">
        <v>38</v>
      </c>
      <c r="G2" s="43" t="s">
        <v>33</v>
      </c>
      <c r="H2" s="43"/>
      <c r="J2" s="39" t="s">
        <v>58</v>
      </c>
      <c r="K2" s="39"/>
    </row>
    <row r="3" spans="1:17" ht="18" x14ac:dyDescent="0.35">
      <c r="A3" s="35" t="s">
        <v>41</v>
      </c>
      <c r="B3" s="35"/>
      <c r="C3" s="35"/>
      <c r="D3" s="7">
        <v>200</v>
      </c>
      <c r="E3" s="8" t="s">
        <v>6</v>
      </c>
      <c r="F3" s="2"/>
      <c r="G3" s="29" t="s">
        <v>54</v>
      </c>
      <c r="H3" s="30"/>
      <c r="I3" s="2"/>
      <c r="J3" s="31" t="s">
        <v>55</v>
      </c>
      <c r="K3" s="32"/>
      <c r="L3" s="2"/>
      <c r="M3" s="2"/>
      <c r="N3" s="2"/>
      <c r="O3" s="2"/>
      <c r="P3" s="2"/>
      <c r="Q3" s="2"/>
    </row>
    <row r="4" spans="1:17" ht="18" x14ac:dyDescent="0.35">
      <c r="A4" s="35" t="s">
        <v>2</v>
      </c>
      <c r="B4" s="35"/>
      <c r="C4" s="35"/>
      <c r="D4" s="9">
        <v>1.7769999999999999</v>
      </c>
      <c r="E4" s="8" t="s">
        <v>21</v>
      </c>
      <c r="F4" s="2"/>
      <c r="G4" s="29" t="s">
        <v>56</v>
      </c>
      <c r="H4" s="30"/>
      <c r="I4" s="2"/>
      <c r="J4" s="31" t="s">
        <v>57</v>
      </c>
      <c r="K4" s="32"/>
      <c r="L4" s="2"/>
      <c r="M4" s="2"/>
      <c r="N4" s="2"/>
      <c r="O4" s="2"/>
      <c r="P4" s="2"/>
      <c r="Q4" s="2"/>
    </row>
    <row r="5" spans="1:17" ht="18" x14ac:dyDescent="0.35">
      <c r="A5" s="35" t="s">
        <v>1</v>
      </c>
      <c r="B5" s="35"/>
      <c r="C5" s="35"/>
      <c r="D5" s="7">
        <v>4.0960000000000001</v>
      </c>
      <c r="E5" s="8" t="s">
        <v>0</v>
      </c>
      <c r="G5" s="4" t="s">
        <v>9</v>
      </c>
      <c r="H5" s="4" t="s">
        <v>10</v>
      </c>
      <c r="J5" s="18" t="s">
        <v>9</v>
      </c>
      <c r="K5" s="18" t="s">
        <v>10</v>
      </c>
    </row>
    <row r="6" spans="1:17" ht="18.75" customHeight="1" x14ac:dyDescent="0.35">
      <c r="A6" s="35" t="s">
        <v>39</v>
      </c>
      <c r="B6" s="35"/>
      <c r="C6" s="35"/>
      <c r="D6" s="10">
        <f>D4*D5</f>
        <v>7.2785919999999997</v>
      </c>
      <c r="E6" s="8" t="str">
        <f>"mV ("&amp;ROUND(D4,3)&amp;" x "&amp;D5*1000&amp;")"</f>
        <v>mV (1.777 x 4096)</v>
      </c>
      <c r="G6" s="5" t="s">
        <v>11</v>
      </c>
      <c r="H6" s="6">
        <v>21.384962876822598</v>
      </c>
      <c r="J6" s="20" t="s">
        <v>31</v>
      </c>
      <c r="K6" s="19">
        <v>16</v>
      </c>
    </row>
    <row r="7" spans="1:17" ht="18" x14ac:dyDescent="0.35">
      <c r="A7" s="35" t="s">
        <v>40</v>
      </c>
      <c r="B7" s="35"/>
      <c r="C7" s="35"/>
      <c r="D7" s="11">
        <f>ROUNDDOWN((VLOOKUP(D2,A102:C104,3,FALSE))/(D6*2), 0)</f>
        <v>343</v>
      </c>
      <c r="E7" s="3" t="str">
        <f>VLOOKUP(D2,A102:C104,3,FALSE)&amp;"/ "&amp;ROUND((D6*2),3)&amp;"(rounded down)"</f>
        <v>5000/ 14.557(rounded down)</v>
      </c>
      <c r="G7" s="5" t="s">
        <v>12</v>
      </c>
      <c r="H7" s="6">
        <v>29.847901115659401</v>
      </c>
      <c r="J7" s="20" t="s">
        <v>30</v>
      </c>
      <c r="K7" s="19">
        <v>32</v>
      </c>
    </row>
    <row r="8" spans="1:17" ht="18" x14ac:dyDescent="0.35">
      <c r="A8" s="35" t="s">
        <v>8</v>
      </c>
      <c r="B8" s="35"/>
      <c r="C8" s="35"/>
      <c r="D8" s="12" t="s">
        <v>27</v>
      </c>
      <c r="E8" s="3" t="str">
        <f>"Gain = "&amp;ROUND(VLOOKUP(D8,A67:B84,2,FALSE),0)&amp;"   Refer to tables"</f>
        <v>Gain = 256   Refer to tables</v>
      </c>
      <c r="G8" s="5" t="s">
        <v>13</v>
      </c>
      <c r="H8" s="6">
        <v>74.989917322040696</v>
      </c>
      <c r="J8" s="20" t="s">
        <v>29</v>
      </c>
      <c r="K8" s="19">
        <v>64</v>
      </c>
    </row>
    <row r="9" spans="1:17" ht="18" x14ac:dyDescent="0.35">
      <c r="A9" s="35" t="s">
        <v>50</v>
      </c>
      <c r="B9" s="35"/>
      <c r="C9" s="35"/>
      <c r="D9" s="10">
        <f>(VLOOKUP(D2,A102:C104,3,FALSE)/VLOOKUP(D8,A67:B84,2,FALSE))</f>
        <v>19.53125</v>
      </c>
      <c r="E9" s="3" t="str">
        <f xml:space="preserve"> "mV  ("&amp;VLOOKUP(D2,A102:C104,3,FALSE)&amp;" / "&amp;ROUND(VLOOKUP(D8,A67:B84,2,FALSE),0)&amp;")"</f>
        <v>mV  (5000 / 256)</v>
      </c>
      <c r="G9" s="5" t="s">
        <v>14</v>
      </c>
      <c r="H9" s="6">
        <v>147.076595183688</v>
      </c>
      <c r="J9" s="20" t="s">
        <v>28</v>
      </c>
      <c r="K9" s="19">
        <v>128</v>
      </c>
    </row>
    <row r="10" spans="1:17" ht="18" x14ac:dyDescent="0.35">
      <c r="A10" s="35" t="s">
        <v>5</v>
      </c>
      <c r="B10" s="35"/>
      <c r="C10" s="35"/>
      <c r="D10" s="10">
        <f>ROUND((D9*(D3*2))/(D6*2),3)</f>
        <v>536.67700000000002</v>
      </c>
      <c r="E10" s="8" t="str">
        <f>"EU ("&amp;ROUND(D9,3)&amp;" x (" &amp;D3 &amp; " x 2) / ("&amp;ROUND(D6,3)&amp;" x 2)"</f>
        <v>EU (19.531 x (200 x 2) / (7.279 x 2)</v>
      </c>
      <c r="G10" s="5" t="s">
        <v>15</v>
      </c>
      <c r="H10" s="6">
        <v>290.88084477663801</v>
      </c>
      <c r="J10" s="20" t="s">
        <v>27</v>
      </c>
      <c r="K10" s="19">
        <v>256</v>
      </c>
    </row>
    <row r="11" spans="1:17" ht="18" x14ac:dyDescent="0.35">
      <c r="A11" s="35" t="s">
        <v>3</v>
      </c>
      <c r="B11" s="35"/>
      <c r="C11" s="35"/>
      <c r="D11" s="17">
        <f>D10/(VLOOKUP(D2,A102:B104,2,FALSE))</f>
        <v>2.0472602844238282E-3</v>
      </c>
      <c r="E11" s="13" t="str">
        <f>"EU/Bit ("&amp;ROUND(D10,3)&amp;" / "&amp;VLOOKUP(D2,A102:B104,2,FALSE)&amp;")"</f>
        <v>EU/Bit (536.677 / 262144)</v>
      </c>
      <c r="G11" s="5" t="s">
        <v>16</v>
      </c>
      <c r="H11" s="6">
        <v>569.09964291787105</v>
      </c>
      <c r="J11" s="20" t="s">
        <v>26</v>
      </c>
      <c r="K11" s="19">
        <v>512</v>
      </c>
    </row>
    <row r="12" spans="1:17" ht="18" x14ac:dyDescent="0.35">
      <c r="A12" s="35" t="s">
        <v>51</v>
      </c>
      <c r="B12" s="35"/>
      <c r="C12" s="35"/>
      <c r="D12" s="23">
        <f>D11*((VLOOKUP(D2,A102:B104,2,FALSE))/1.3333333)</f>
        <v>402.50776006269399</v>
      </c>
      <c r="E12" s="36" t="s">
        <v>44</v>
      </c>
      <c r="G12" s="5" t="s">
        <v>17</v>
      </c>
      <c r="H12" s="6">
        <v>1214.39586357039</v>
      </c>
      <c r="J12" s="20" t="s">
        <v>25</v>
      </c>
      <c r="K12" s="19">
        <v>1024</v>
      </c>
    </row>
    <row r="13" spans="1:17" ht="18" x14ac:dyDescent="0.35">
      <c r="A13" s="35" t="s">
        <v>52</v>
      </c>
      <c r="B13" s="35"/>
      <c r="C13" s="35"/>
      <c r="D13" s="23">
        <f>D11*((VLOOKUP(D2,A102:B104,2,FALSE))/2)</f>
        <v>268.33850000000001</v>
      </c>
      <c r="E13" s="37"/>
      <c r="G13" s="5" t="s">
        <v>61</v>
      </c>
      <c r="H13" s="6">
        <v>2222.36055776892</v>
      </c>
      <c r="J13" s="20" t="s">
        <v>24</v>
      </c>
      <c r="K13" s="19">
        <v>2056</v>
      </c>
    </row>
    <row r="14" spans="1:17" ht="18" x14ac:dyDescent="0.35">
      <c r="A14" s="35" t="s">
        <v>53</v>
      </c>
      <c r="B14" s="35"/>
      <c r="C14" s="35"/>
      <c r="D14" s="24">
        <f>D11*((VLOOKUP(D2,A102:B104,2,FALSE))/4)</f>
        <v>134.16925000000001</v>
      </c>
      <c r="E14" s="38"/>
      <c r="G14" s="5" t="s">
        <v>62</v>
      </c>
      <c r="H14" s="6">
        <v>3798.9500567536902</v>
      </c>
    </row>
    <row r="15" spans="1:17" ht="18.75" customHeight="1" x14ac:dyDescent="0.3">
      <c r="A15"/>
      <c r="B15"/>
      <c r="C15"/>
      <c r="D15"/>
      <c r="E15"/>
      <c r="G15" s="5" t="s">
        <v>63</v>
      </c>
      <c r="H15" s="6">
        <v>13073.73046875</v>
      </c>
    </row>
    <row r="16" spans="1:17" customFormat="1" ht="15" customHeight="1" x14ac:dyDescent="0.3">
      <c r="A16" s="14"/>
      <c r="B16" s="14"/>
      <c r="C16" s="14"/>
      <c r="D16" s="15"/>
      <c r="E16" s="16" t="s">
        <v>4</v>
      </c>
      <c r="F16" s="1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4"/>
      <c r="B17" s="14"/>
      <c r="C17" s="14"/>
      <c r="D17" s="25"/>
      <c r="E17" s="16" t="s">
        <v>37</v>
      </c>
      <c r="G17" s="21"/>
      <c r="H17" s="22"/>
    </row>
    <row r="18" spans="1:17" ht="18" x14ac:dyDescent="0.35">
      <c r="A18" s="28" t="s">
        <v>7</v>
      </c>
      <c r="B18" s="28"/>
      <c r="C18" s="14"/>
      <c r="D18" s="14"/>
      <c r="E18" s="14"/>
      <c r="F18"/>
      <c r="G18" s="33" t="s">
        <v>32</v>
      </c>
      <c r="H18" s="33"/>
      <c r="I18" s="33"/>
      <c r="J18" s="33"/>
      <c r="K18" s="33"/>
      <c r="L18" s="33"/>
      <c r="M18"/>
      <c r="N18"/>
      <c r="O18"/>
      <c r="P18"/>
      <c r="Q18"/>
    </row>
    <row r="19" spans="1:17" ht="18" x14ac:dyDescent="0.35">
      <c r="A19" s="28"/>
      <c r="B19" s="28"/>
      <c r="C19" s="14"/>
      <c r="D19" s="14"/>
      <c r="E19" s="14"/>
      <c r="G19" s="33" t="s">
        <v>35</v>
      </c>
      <c r="H19" s="33"/>
      <c r="I19" s="33" t="s">
        <v>34</v>
      </c>
      <c r="J19" s="33"/>
      <c r="K19" s="33" t="s">
        <v>36</v>
      </c>
      <c r="L19" s="33"/>
    </row>
    <row r="20" spans="1:17" ht="18" x14ac:dyDescent="0.35">
      <c r="A20" s="28"/>
      <c r="B20" s="28"/>
      <c r="C20" s="14"/>
      <c r="D20" s="14"/>
      <c r="E20" s="14"/>
      <c r="G20" s="34">
        <f>(D11*((VLOOKUP(D2,A102:B104,2,FALSE))))-D12</f>
        <v>134.16923993730603</v>
      </c>
      <c r="H20" s="34"/>
      <c r="I20" s="34">
        <f>(D11*((VLOOKUP(D2,A102:B104,2,FALSE))))-D13</f>
        <v>268.33850000000001</v>
      </c>
      <c r="J20" s="34"/>
      <c r="K20" s="34">
        <f>(D11*((VLOOKUP(D2,A102:B104,2,FALSE))))-D14</f>
        <v>402.50774999999999</v>
      </c>
      <c r="L20" s="34"/>
    </row>
    <row r="21" spans="1:17" ht="18" x14ac:dyDescent="0.35">
      <c r="A21" s="28"/>
      <c r="B21" s="28"/>
      <c r="C21" s="14"/>
      <c r="D21" s="14"/>
      <c r="E21" s="14"/>
      <c r="G21" s="34">
        <f>-D12</f>
        <v>-402.50776006269399</v>
      </c>
      <c r="H21" s="34"/>
      <c r="I21" s="40">
        <f>-D13</f>
        <v>-268.33850000000001</v>
      </c>
      <c r="J21" s="41"/>
      <c r="K21" s="34">
        <f>-D14</f>
        <v>-134.16925000000001</v>
      </c>
      <c r="L21" s="34"/>
    </row>
    <row r="22" spans="1:17" x14ac:dyDescent="0.3">
      <c r="A22" s="28"/>
      <c r="B22" s="28"/>
      <c r="C22" s="14"/>
      <c r="D22" s="14"/>
      <c r="E22" s="14"/>
    </row>
    <row r="23" spans="1:17" x14ac:dyDescent="0.3">
      <c r="A23" s="28"/>
      <c r="B23" s="28"/>
      <c r="C23" s="14"/>
      <c r="D23" s="14"/>
      <c r="E23" s="14"/>
      <c r="F23" s="27" t="s">
        <v>43</v>
      </c>
      <c r="G23" s="27"/>
      <c r="H23" s="27"/>
      <c r="I23" s="27"/>
      <c r="J23" s="27"/>
      <c r="K23" s="27"/>
      <c r="L23" s="27"/>
      <c r="M23" s="27"/>
      <c r="N23" s="27"/>
    </row>
    <row r="24" spans="1:17" x14ac:dyDescent="0.3">
      <c r="A24" s="28"/>
      <c r="B24" s="28"/>
      <c r="C24" s="14"/>
      <c r="D24" s="14"/>
      <c r="E24" s="14"/>
      <c r="F24" s="27" t="s">
        <v>42</v>
      </c>
      <c r="G24" s="27"/>
      <c r="H24" s="27"/>
      <c r="I24" s="27"/>
      <c r="J24" s="27"/>
      <c r="K24" s="27"/>
      <c r="L24" s="27"/>
      <c r="M24" s="27"/>
      <c r="N24" s="27"/>
    </row>
    <row r="25" spans="1:17" ht="15" customHeight="1" x14ac:dyDescent="0.3">
      <c r="A25" s="28"/>
      <c r="B25" s="28"/>
      <c r="C25" s="14"/>
      <c r="D25" s="14"/>
      <c r="E25" s="14"/>
      <c r="F25" s="27" t="s">
        <v>48</v>
      </c>
      <c r="G25" s="27"/>
      <c r="H25" s="27"/>
      <c r="I25" s="27"/>
      <c r="J25" s="27"/>
      <c r="K25" s="27"/>
    </row>
    <row r="26" spans="1:17" x14ac:dyDescent="0.3">
      <c r="A26" s="28"/>
      <c r="B26" s="28"/>
      <c r="C26" s="14"/>
      <c r="D26" s="14"/>
      <c r="E26" s="14"/>
      <c r="F26" s="26" t="s">
        <v>45</v>
      </c>
      <c r="G26" s="26"/>
      <c r="H26" s="26"/>
      <c r="I26" s="26"/>
      <c r="J26" s="26"/>
      <c r="K26" s="26"/>
    </row>
    <row r="27" spans="1:17" x14ac:dyDescent="0.3">
      <c r="F27" s="28" t="s">
        <v>49</v>
      </c>
      <c r="G27" s="28"/>
      <c r="H27" s="28"/>
      <c r="I27" s="28"/>
      <c r="J27" s="28"/>
      <c r="K27" s="28"/>
      <c r="L27" s="28"/>
      <c r="M27" s="28"/>
    </row>
    <row r="28" spans="1:17" x14ac:dyDescent="0.3">
      <c r="F28" s="28"/>
      <c r="G28" s="28"/>
      <c r="H28" s="28"/>
      <c r="I28" s="28"/>
      <c r="J28" s="28"/>
      <c r="K28" s="28"/>
      <c r="L28" s="28"/>
      <c r="M28" s="28"/>
    </row>
    <row r="29" spans="1:17" x14ac:dyDescent="0.3">
      <c r="F29" s="28"/>
      <c r="G29" s="28"/>
      <c r="H29" s="28"/>
      <c r="I29" s="28"/>
      <c r="J29" s="28"/>
      <c r="K29" s="28"/>
      <c r="L29" s="28"/>
      <c r="M29" s="28"/>
    </row>
    <row r="30" spans="1:17" x14ac:dyDescent="0.3">
      <c r="F30" s="27" t="s">
        <v>46</v>
      </c>
      <c r="G30" s="27"/>
      <c r="H30" s="27"/>
      <c r="I30" s="27"/>
      <c r="J30" s="27"/>
      <c r="K30" s="27"/>
    </row>
    <row r="31" spans="1:17" x14ac:dyDescent="0.3">
      <c r="F31" s="27" t="s">
        <v>47</v>
      </c>
      <c r="G31" s="27"/>
      <c r="H31" s="27"/>
      <c r="I31" s="27"/>
      <c r="J31" s="27"/>
      <c r="K31" s="27"/>
      <c r="L31" s="27"/>
      <c r="M31" s="27"/>
      <c r="N31" s="27"/>
      <c r="O31" s="27"/>
    </row>
    <row r="67" spans="1:2" x14ac:dyDescent="0.3">
      <c r="A67" s="5" t="s">
        <v>11</v>
      </c>
      <c r="B67" s="6">
        <v>21.384962876822598</v>
      </c>
    </row>
    <row r="68" spans="1:2" x14ac:dyDescent="0.3">
      <c r="A68" s="5" t="s">
        <v>12</v>
      </c>
      <c r="B68" s="6">
        <v>29.847901115659401</v>
      </c>
    </row>
    <row r="69" spans="1:2" x14ac:dyDescent="0.3">
      <c r="A69" s="5" t="s">
        <v>13</v>
      </c>
      <c r="B69" s="6">
        <v>74.989917322040696</v>
      </c>
    </row>
    <row r="70" spans="1:2" x14ac:dyDescent="0.3">
      <c r="A70" s="5" t="s">
        <v>14</v>
      </c>
      <c r="B70" s="6">
        <v>147.076595183688</v>
      </c>
    </row>
    <row r="71" spans="1:2" x14ac:dyDescent="0.3">
      <c r="A71" s="5" t="s">
        <v>15</v>
      </c>
      <c r="B71" s="6">
        <v>290.88084477663801</v>
      </c>
    </row>
    <row r="72" spans="1:2" x14ac:dyDescent="0.3">
      <c r="A72" s="5" t="s">
        <v>16</v>
      </c>
      <c r="B72" s="6">
        <v>569.09964291787105</v>
      </c>
    </row>
    <row r="73" spans="1:2" x14ac:dyDescent="0.3">
      <c r="A73" s="5" t="s">
        <v>17</v>
      </c>
      <c r="B73" s="6">
        <v>1214.39586357039</v>
      </c>
    </row>
    <row r="74" spans="1:2" x14ac:dyDescent="0.3">
      <c r="A74" s="5" t="s">
        <v>61</v>
      </c>
      <c r="B74" s="6">
        <v>2222.36055776892</v>
      </c>
    </row>
    <row r="75" spans="1:2" x14ac:dyDescent="0.3">
      <c r="A75" s="5" t="s">
        <v>62</v>
      </c>
      <c r="B75" s="6">
        <v>3798.9500567536902</v>
      </c>
    </row>
    <row r="76" spans="1:2" x14ac:dyDescent="0.3">
      <c r="A76" s="5" t="s">
        <v>63</v>
      </c>
      <c r="B76" s="6">
        <v>13073.73046875</v>
      </c>
    </row>
    <row r="77" spans="1:2" x14ac:dyDescent="0.3">
      <c r="A77" s="20" t="s">
        <v>31</v>
      </c>
      <c r="B77" s="19">
        <v>16</v>
      </c>
    </row>
    <row r="78" spans="1:2" x14ac:dyDescent="0.3">
      <c r="A78" s="20" t="s">
        <v>30</v>
      </c>
      <c r="B78" s="19">
        <v>32</v>
      </c>
    </row>
    <row r="79" spans="1:2" x14ac:dyDescent="0.3">
      <c r="A79" s="20" t="s">
        <v>29</v>
      </c>
      <c r="B79" s="19">
        <v>64</v>
      </c>
    </row>
    <row r="80" spans="1:2" x14ac:dyDescent="0.3">
      <c r="A80" s="20" t="s">
        <v>28</v>
      </c>
      <c r="B80" s="19">
        <v>128</v>
      </c>
    </row>
    <row r="81" spans="1:2" x14ac:dyDescent="0.3">
      <c r="A81" s="20" t="s">
        <v>27</v>
      </c>
      <c r="B81" s="19">
        <v>256</v>
      </c>
    </row>
    <row r="82" spans="1:2" x14ac:dyDescent="0.3">
      <c r="A82" s="20" t="s">
        <v>26</v>
      </c>
      <c r="B82" s="19">
        <v>512</v>
      </c>
    </row>
    <row r="83" spans="1:2" x14ac:dyDescent="0.3">
      <c r="A83" s="20" t="s">
        <v>25</v>
      </c>
      <c r="B83" s="19">
        <v>1024</v>
      </c>
    </row>
    <row r="84" spans="1:2" x14ac:dyDescent="0.3">
      <c r="A84" s="20" t="s">
        <v>24</v>
      </c>
      <c r="B84" s="19">
        <v>2056</v>
      </c>
    </row>
    <row r="95" spans="1:2" x14ac:dyDescent="0.3">
      <c r="A95" s="1" t="str">
        <f>(VLOOKUP(D2,A98:B100,2,FALSE))</f>
        <v>vlink200</v>
      </c>
    </row>
    <row r="98" spans="1:3" x14ac:dyDescent="0.3">
      <c r="A98" s="1" t="s">
        <v>19</v>
      </c>
      <c r="B98" s="1" t="s">
        <v>59</v>
      </c>
    </row>
    <row r="99" spans="1:3" x14ac:dyDescent="0.3">
      <c r="A99" s="1" t="s">
        <v>20</v>
      </c>
      <c r="B99" s="1" t="s">
        <v>59</v>
      </c>
    </row>
    <row r="100" spans="1:3" x14ac:dyDescent="0.3">
      <c r="A100" s="1" t="s">
        <v>23</v>
      </c>
      <c r="B100" s="1" t="s">
        <v>60</v>
      </c>
    </row>
    <row r="102" spans="1:3" x14ac:dyDescent="0.3">
      <c r="A102" s="1" t="s">
        <v>19</v>
      </c>
      <c r="B102" s="1">
        <v>4096</v>
      </c>
      <c r="C102" s="1">
        <v>3000</v>
      </c>
    </row>
    <row r="103" spans="1:3" x14ac:dyDescent="0.3">
      <c r="A103" s="1" t="s">
        <v>20</v>
      </c>
      <c r="B103" s="1">
        <v>65536</v>
      </c>
      <c r="C103" s="1">
        <v>3000</v>
      </c>
    </row>
    <row r="104" spans="1:3" x14ac:dyDescent="0.3">
      <c r="A104" s="1" t="s">
        <v>23</v>
      </c>
      <c r="B104" s="1">
        <v>262144</v>
      </c>
      <c r="C104" s="1">
        <v>5000</v>
      </c>
    </row>
  </sheetData>
  <sheetProtection password="E127" sheet="1" objects="1" scenarios="1"/>
  <mergeCells count="38">
    <mergeCell ref="A1:E1"/>
    <mergeCell ref="A5:C5"/>
    <mergeCell ref="A3:C3"/>
    <mergeCell ref="A4:C4"/>
    <mergeCell ref="G2:H2"/>
    <mergeCell ref="A2:C2"/>
    <mergeCell ref="J2:K2"/>
    <mergeCell ref="I20:J20"/>
    <mergeCell ref="I21:J21"/>
    <mergeCell ref="A8:C8"/>
    <mergeCell ref="A9:C9"/>
    <mergeCell ref="A10:C10"/>
    <mergeCell ref="A13:C13"/>
    <mergeCell ref="G18:L18"/>
    <mergeCell ref="I19:J19"/>
    <mergeCell ref="K19:L19"/>
    <mergeCell ref="K20:L20"/>
    <mergeCell ref="K21:L21"/>
    <mergeCell ref="A7:C7"/>
    <mergeCell ref="A6:C6"/>
    <mergeCell ref="A11:C11"/>
    <mergeCell ref="A18:B26"/>
    <mergeCell ref="G20:H20"/>
    <mergeCell ref="G21:H21"/>
    <mergeCell ref="A12:C12"/>
    <mergeCell ref="A14:C14"/>
    <mergeCell ref="E12:E14"/>
    <mergeCell ref="G4:H4"/>
    <mergeCell ref="J4:K4"/>
    <mergeCell ref="G3:H3"/>
    <mergeCell ref="J3:K3"/>
    <mergeCell ref="G19:H19"/>
    <mergeCell ref="F30:K30"/>
    <mergeCell ref="F23:N23"/>
    <mergeCell ref="F24:N24"/>
    <mergeCell ref="F27:M29"/>
    <mergeCell ref="F31:O31"/>
    <mergeCell ref="F25:K25"/>
  </mergeCells>
  <conditionalFormatting sqref="K20:L20">
    <cfRule type="cellIs" dxfId="5" priority="3" operator="lessThan">
      <formula>$D$3</formula>
    </cfRule>
    <cfRule type="cellIs" dxfId="4" priority="8" operator="greaterThan">
      <formula>$D$3</formula>
    </cfRule>
  </conditionalFormatting>
  <conditionalFormatting sqref="I20:J20">
    <cfRule type="cellIs" dxfId="3" priority="4" operator="lessThan">
      <formula>$D$3</formula>
    </cfRule>
    <cfRule type="cellIs" dxfId="2" priority="7" operator="greaterThan">
      <formula>$D$3</formula>
    </cfRule>
  </conditionalFormatting>
  <conditionalFormatting sqref="G20:H20">
    <cfRule type="cellIs" dxfId="1" priority="1" operator="lessThan">
      <formula>$D$3</formula>
    </cfRule>
    <cfRule type="cellIs" dxfId="0" priority="2" operator="greaterThan">
      <formula>$D$3</formula>
    </cfRule>
  </conditionalFormatting>
  <dataValidations count="2">
    <dataValidation type="list" showErrorMessage="1" sqref="D2">
      <formula1>$A$102:$A$104</formula1>
    </dataValidation>
    <dataValidation type="list" showInputMessage="1" showErrorMessage="1" sqref="D8">
      <formula1>INDIRECT($A$95)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vlink</vt:lpstr>
      <vt:lpstr>Vlink200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a_deering</dc:creator>
  <cp:lastModifiedBy>Beal, Matthew T</cp:lastModifiedBy>
  <dcterms:created xsi:type="dcterms:W3CDTF">2012-01-05T21:02:14Z</dcterms:created>
  <dcterms:modified xsi:type="dcterms:W3CDTF">2016-09-27T12:13:02Z</dcterms:modified>
</cp:coreProperties>
</file>